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65" windowWidth="12435" windowHeight="12015"/>
  </bookViews>
  <sheets>
    <sheet name="Contracting Type Mckibben" sheetId="1" r:id="rId1"/>
  </sheets>
  <calcPr calcId="145621"/>
</workbook>
</file>

<file path=xl/calcChain.xml><?xml version="1.0" encoding="utf-8"?>
<calcChain xmlns="http://schemas.openxmlformats.org/spreadsheetml/2006/main">
  <c r="B32" i="1" l="1"/>
  <c r="B31" i="1"/>
  <c r="J10" i="1"/>
  <c r="B30" i="1"/>
  <c r="B22" i="1"/>
  <c r="I10" i="1" l="1"/>
  <c r="B28" i="1" s="1"/>
  <c r="B24" i="1"/>
  <c r="B40" i="1"/>
  <c r="B38" i="1"/>
  <c r="B39" i="1" s="1"/>
  <c r="B51" i="1"/>
  <c r="B50" i="1" s="1"/>
  <c r="K10" i="1"/>
  <c r="B48" i="1"/>
  <c r="B46" i="1"/>
  <c r="B44" i="1"/>
  <c r="B20" i="1" s="1"/>
  <c r="B35" i="1"/>
  <c r="B41" i="1" s="1"/>
  <c r="M10" i="1"/>
  <c r="B47" i="1" s="1"/>
  <c r="B16" i="1"/>
  <c r="B17" i="1" s="1"/>
  <c r="L10" i="1"/>
  <c r="B29" i="1" l="1"/>
  <c r="B23" i="1"/>
  <c r="B45" i="1" s="1"/>
  <c r="B21" i="1" s="1"/>
  <c r="B36" i="1" l="1"/>
</calcChain>
</file>

<file path=xl/sharedStrings.xml><?xml version="1.0" encoding="utf-8"?>
<sst xmlns="http://schemas.openxmlformats.org/spreadsheetml/2006/main" count="51" uniqueCount="51">
  <si>
    <t>The maximum angle is always ~54 degrees when it's fully contracted</t>
  </si>
  <si>
    <t>The starting angle can be between 20-30 degrees when it's fully extended</t>
  </si>
  <si>
    <t>Diameter when fully Contracted</t>
  </si>
  <si>
    <t>User-Defined Properties</t>
  </si>
  <si>
    <t>Modeling equations from Chou and Hannaford, "Measurement and modeling of Artificial Muscles"</t>
  </si>
  <si>
    <t>Extended Length (cm)</t>
  </si>
  <si>
    <t>Design Specifications</t>
  </si>
  <si>
    <t>b (cm)</t>
  </si>
  <si>
    <t>Assumed Constants</t>
  </si>
  <si>
    <t>Magnetic Permeability of Core</t>
  </si>
  <si>
    <t>Total number of helices (right-handed and left)</t>
  </si>
  <si>
    <t>Starting Angle  (degrees)</t>
  </si>
  <si>
    <t>n, number of turns</t>
  </si>
  <si>
    <t>Final Inductance (H)</t>
  </si>
  <si>
    <t>Starting Inductance (H)</t>
  </si>
  <si>
    <t>Feasibility Checks</t>
  </si>
  <si>
    <t>Intermittant Calculations</t>
  </si>
  <si>
    <t>Starting circumference (cm)</t>
  </si>
  <si>
    <t>Total fiber length (cm)</t>
  </si>
  <si>
    <t>Contracting Type McKibben Muscle Smart Braid</t>
  </si>
  <si>
    <t>Max Resonant Frequency of LC circuit (rad/s)</t>
  </si>
  <si>
    <t>Minimum Length (cm)</t>
  </si>
  <si>
    <t>Maximum Diameter (cm)</t>
  </si>
  <si>
    <t>Fully contracted angle (degrees)</t>
  </si>
  <si>
    <t>Idealized Performance</t>
  </si>
  <si>
    <t>Conductor Diameter (mm)</t>
  </si>
  <si>
    <t>Wire Outer Diameter (mm)</t>
  </si>
  <si>
    <t>Parallel capacitor value (F)</t>
  </si>
  <si>
    <t>Stress and winding angle feasibility from Davis and Caldwell "Braid Effects on Contractile Range and Friction Modeling in Pneumatic Muscle Actuators"</t>
  </si>
  <si>
    <t>Winding angle feasible</t>
  </si>
  <si>
    <t>D_0</t>
  </si>
  <si>
    <t>Minimum Widing angle (degrees)</t>
  </si>
  <si>
    <t>Conductor area (m^2)</t>
  </si>
  <si>
    <t>Wire resistivity (Ohms - m)</t>
  </si>
  <si>
    <t>Total wire resistance (Ohms)</t>
  </si>
  <si>
    <t>Max Operating Pressure (Pa)</t>
  </si>
  <si>
    <t>Starting Force at Max Pressure  (N)</t>
  </si>
  <si>
    <t>Diameter at starting angle (cm, fully extended)</t>
  </si>
  <si>
    <t>Solenoid Starting Area (m^2)</t>
  </si>
  <si>
    <t>Solenoid Ending Area (m^2)</t>
  </si>
  <si>
    <t>Solenoid Starting Length (m)</t>
  </si>
  <si>
    <t>Solenoid Ending Length (m)</t>
  </si>
  <si>
    <t>Solenoid Number of Turns</t>
  </si>
  <si>
    <t>cos(45)*sin(45)</t>
  </si>
  <si>
    <t>Stress in each fiber at max pressure and 45 degrees</t>
  </si>
  <si>
    <t>Safety Factor on Wire Stress</t>
  </si>
  <si>
    <t>Wire Yield Stress (Pa)</t>
  </si>
  <si>
    <t>Smallest parallel resistance R_p (Ohms)</t>
  </si>
  <si>
    <t>Largest damping ratio of LC circuit</t>
  </si>
  <si>
    <t>Highest Resonant Frequency of LC circuit</t>
  </si>
  <si>
    <t>Min. Parallel Resistance (R_p)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</si>
</sst>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0"/>
  </numFmts>
  <fonts count="6" x14ac:knownFonts="1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3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49" fontId="1" fillId="0" borderId="0" xfId="0" applyNumberFormat="1" applyFont="1" applyAlignment="1">
      <alignment wrapText="1"/>
    </xf>
    <xf numFmtId="0" fontId="1" fillId="0" borderId="0" xfId="0" applyFont="1"/>
    <xf numFmtId="0" fontId="0" fillId="0" borderId="0" xfId="0" applyFont="1"/>
    <xf numFmtId="0" fontId="1" fillId="0" borderId="0" xfId="0" applyFont="1" applyAlignment="1">
      <alignment wrapText="1"/>
    </xf>
    <xf numFmtId="17" fontId="0" fillId="0" borderId="0" xfId="0" applyNumberFormat="1"/>
    <xf numFmtId="49" fontId="0" fillId="0" borderId="0" xfId="0" applyNumberFormat="1"/>
    <xf numFmtId="2" fontId="0" fillId="0" borderId="0" xfId="0" applyNumberFormat="1"/>
    <xf numFmtId="164" fontId="0" fillId="0" borderId="0" xfId="0" applyNumberFormat="1"/>
    <xf numFmtId="11" fontId="2" fillId="0" borderId="0" xfId="0" applyNumberFormat="1" applyFont="1"/>
    <xf numFmtId="0" fontId="3" fillId="0" borderId="0" xfId="0" applyFont="1"/>
    <xf numFmtId="0" fontId="1" fillId="0" borderId="1" xfId="0" applyFont="1" applyBorder="1"/>
    <xf numFmtId="0" fontId="4" fillId="0" borderId="2" xfId="0" applyFont="1" applyBorder="1"/>
    <xf numFmtId="0" fontId="0" fillId="0" borderId="3" xfId="0" applyBorder="1"/>
    <xf numFmtId="49" fontId="0" fillId="0" borderId="4" xfId="0" applyNumberFormat="1" applyFont="1" applyBorder="1" applyAlignment="1">
      <alignment wrapText="1"/>
    </xf>
    <xf numFmtId="49" fontId="0" fillId="0" borderId="0" xfId="0" applyNumberFormat="1" applyFont="1" applyBorder="1" applyAlignment="1">
      <alignment wrapText="1"/>
    </xf>
    <xf numFmtId="0" fontId="0" fillId="0" borderId="0" xfId="0" applyBorder="1"/>
    <xf numFmtId="49" fontId="0" fillId="0" borderId="0" xfId="0" applyNumberFormat="1" applyFont="1" applyFill="1" applyBorder="1" applyAlignment="1">
      <alignment wrapText="1"/>
    </xf>
    <xf numFmtId="49" fontId="0" fillId="0" borderId="0" xfId="0" applyNumberFormat="1" applyFont="1" applyBorder="1" applyAlignment="1">
      <alignment horizontal="center" wrapText="1"/>
    </xf>
    <xf numFmtId="49" fontId="0" fillId="0" borderId="5" xfId="0" applyNumberFormat="1" applyFont="1" applyFill="1" applyBorder="1" applyAlignment="1">
      <alignment wrapText="1"/>
    </xf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0" fontId="5" fillId="0" borderId="0" xfId="0" applyFont="1"/>
    <xf numFmtId="0" fontId="0" fillId="0" borderId="2" xfId="0" applyBorder="1"/>
    <xf numFmtId="11" fontId="0" fillId="0" borderId="0" xfId="0" applyNumberFormat="1" applyBorder="1"/>
    <xf numFmtId="11" fontId="0" fillId="2" borderId="7" xfId="0" applyNumberFormat="1" applyFill="1" applyBorder="1"/>
    <xf numFmtId="11" fontId="0" fillId="0" borderId="0" xfId="0" applyNumberFormat="1"/>
    <xf numFmtId="0" fontId="0" fillId="0" borderId="0" xfId="0" applyNumberFormat="1"/>
    <xf numFmtId="49" fontId="0" fillId="0" borderId="0" xfId="0" applyNumberFormat="1" applyFont="1" applyAlignment="1">
      <alignment wrapText="1"/>
    </xf>
    <xf numFmtId="0" fontId="0" fillId="0" borderId="4" xfId="0" applyBorder="1"/>
    <xf numFmtId="2" fontId="0" fillId="0" borderId="5" xfId="0" applyNumberFormat="1" applyBorder="1"/>
    <xf numFmtId="0" fontId="0" fillId="0" borderId="4" xfId="0" applyFont="1" applyBorder="1"/>
    <xf numFmtId="0" fontId="0" fillId="0" borderId="5" xfId="0" applyBorder="1"/>
    <xf numFmtId="0" fontId="0" fillId="0" borderId="6" xfId="0" applyFont="1" applyBorder="1"/>
    <xf numFmtId="0" fontId="0" fillId="0" borderId="8" xfId="0" applyBorder="1"/>
  </cellXfs>
  <cellStyles count="1">
    <cellStyle name="Normal" xfId="0" builtinId="0"/>
  </cellStyles>
  <dxfs count="28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W51"/>
  <sheetViews>
    <sheetView tabSelected="1" workbookViewId="0">
      <selection activeCell="E38" sqref="E38"/>
    </sheetView>
  </sheetViews>
  <sheetFormatPr defaultRowHeight="15" x14ac:dyDescent="0.25"/>
  <cols>
    <col min="1" max="1" width="49.140625" customWidth="1"/>
    <col min="2" max="4" width="10.7109375" customWidth="1"/>
    <col min="5" max="6" width="12.140625" customWidth="1"/>
    <col min="7" max="7" width="15.85546875" customWidth="1"/>
    <col min="8" max="8" width="14.5703125" customWidth="1"/>
    <col min="9" max="9" width="8.85546875" customWidth="1"/>
    <col min="10" max="10" width="10.7109375" customWidth="1"/>
    <col min="11" max="11" width="13.42578125" customWidth="1"/>
    <col min="12" max="12" width="13.28515625" style="2" customWidth="1"/>
    <col min="13" max="13" width="11.7109375" customWidth="1"/>
    <col min="14" max="14" width="11" customWidth="1"/>
    <col min="16" max="16" width="14.28515625" customWidth="1"/>
    <col min="19" max="19" width="10.5703125" customWidth="1"/>
    <col min="20" max="20" width="11" customWidth="1"/>
  </cols>
  <sheetData>
    <row r="5" spans="1:23" x14ac:dyDescent="0.25">
      <c r="B5" t="s">
        <v>1</v>
      </c>
    </row>
    <row r="6" spans="1:23" x14ac:dyDescent="0.25">
      <c r="B6" t="s">
        <v>0</v>
      </c>
    </row>
    <row r="7" spans="1:23" ht="46.5" customHeight="1" thickBot="1" x14ac:dyDescent="0.75">
      <c r="A7" s="23" t="s">
        <v>19</v>
      </c>
    </row>
    <row r="8" spans="1:23" x14ac:dyDescent="0.25">
      <c r="A8" s="11" t="s">
        <v>3</v>
      </c>
      <c r="B8" s="12"/>
      <c r="C8" s="12"/>
      <c r="D8" s="12"/>
      <c r="E8" s="12"/>
      <c r="F8" s="24"/>
      <c r="G8" s="12"/>
      <c r="H8" s="24"/>
      <c r="I8" s="24"/>
      <c r="J8" s="13"/>
      <c r="K8" s="10" t="s">
        <v>8</v>
      </c>
      <c r="L8" s="16"/>
      <c r="M8" s="16"/>
      <c r="S8" s="9"/>
    </row>
    <row r="9" spans="1:23" ht="102" customHeight="1" x14ac:dyDescent="0.25">
      <c r="A9" s="14" t="s">
        <v>5</v>
      </c>
      <c r="B9" s="15" t="s">
        <v>11</v>
      </c>
      <c r="C9" s="15" t="s">
        <v>37</v>
      </c>
      <c r="D9" s="18" t="s">
        <v>10</v>
      </c>
      <c r="E9" s="15" t="s">
        <v>33</v>
      </c>
      <c r="F9" s="17" t="s">
        <v>25</v>
      </c>
      <c r="G9" s="17" t="s">
        <v>26</v>
      </c>
      <c r="H9" s="17" t="s">
        <v>35</v>
      </c>
      <c r="I9" s="17" t="s">
        <v>46</v>
      </c>
      <c r="J9" s="19" t="s">
        <v>27</v>
      </c>
      <c r="K9" s="17" t="s">
        <v>9</v>
      </c>
      <c r="L9" s="17" t="s">
        <v>20</v>
      </c>
      <c r="M9" s="15" t="s">
        <v>23</v>
      </c>
      <c r="N9" s="29" t="s">
        <v>50</v>
      </c>
      <c r="P9" s="4"/>
      <c r="Q9" s="1"/>
      <c r="R9" s="1"/>
      <c r="S9" s="1"/>
      <c r="T9" s="1"/>
      <c r="U9" s="1"/>
      <c r="V9" s="1"/>
      <c r="W9" s="1" t="s">
        <v>2</v>
      </c>
    </row>
    <row r="10" spans="1:23" ht="15.75" thickBot="1" x14ac:dyDescent="0.3">
      <c r="A10" s="20">
        <v>30</v>
      </c>
      <c r="B10" s="21">
        <v>20</v>
      </c>
      <c r="C10" s="21">
        <v>1</v>
      </c>
      <c r="D10" s="21">
        <v>16</v>
      </c>
      <c r="E10" s="26">
        <v>1.6800000000000002E-8</v>
      </c>
      <c r="F10" s="21">
        <v>0.6</v>
      </c>
      <c r="G10" s="21">
        <v>1.35</v>
      </c>
      <c r="H10" s="21">
        <v>400000</v>
      </c>
      <c r="I10" s="21">
        <f>69*10^6</f>
        <v>69000000</v>
      </c>
      <c r="J10" s="22">
        <f>390*10^-12</f>
        <v>3.9E-10</v>
      </c>
      <c r="K10">
        <f>4*PI()*10^-7</f>
        <v>1.2566370614359173E-6</v>
      </c>
      <c r="L10" s="25">
        <f>5*2*PI()*10^9</f>
        <v>31415926535.89793</v>
      </c>
      <c r="M10" s="16">
        <f>54.7</f>
        <v>54.7</v>
      </c>
      <c r="N10">
        <v>798</v>
      </c>
    </row>
    <row r="12" spans="1:23" x14ac:dyDescent="0.25">
      <c r="A12" t="s">
        <v>4</v>
      </c>
      <c r="L12"/>
    </row>
    <row r="13" spans="1:23" x14ac:dyDescent="0.25">
      <c r="A13" t="s">
        <v>28</v>
      </c>
    </row>
    <row r="14" spans="1:23" x14ac:dyDescent="0.25">
      <c r="B14" s="7"/>
      <c r="C14" s="7"/>
      <c r="D14" s="7"/>
      <c r="E14" s="7"/>
      <c r="F14" s="7"/>
    </row>
    <row r="15" spans="1:23" x14ac:dyDescent="0.25">
      <c r="A15" s="2" t="s">
        <v>6</v>
      </c>
    </row>
    <row r="16" spans="1:23" x14ac:dyDescent="0.25">
      <c r="A16" t="s">
        <v>7</v>
      </c>
      <c r="B16">
        <f>A10/COS(RADIANS(B10))</f>
        <v>31.925333174277363</v>
      </c>
    </row>
    <row r="17" spans="1:23" x14ac:dyDescent="0.25">
      <c r="A17" t="s">
        <v>12</v>
      </c>
      <c r="B17">
        <f>B16*SIN(RADIANS(B10))/(C10*PI())</f>
        <v>3.4756597153068745</v>
      </c>
    </row>
    <row r="18" spans="1:23" x14ac:dyDescent="0.25">
      <c r="V18" s="6"/>
    </row>
    <row r="19" spans="1:23" x14ac:dyDescent="0.25">
      <c r="A19" s="2" t="s">
        <v>24</v>
      </c>
      <c r="V19" s="6"/>
    </row>
    <row r="20" spans="1:23" x14ac:dyDescent="0.25">
      <c r="A20" t="s">
        <v>14</v>
      </c>
      <c r="B20">
        <f>K10*B48^2*B44/B46</f>
        <v>1.0174028653961794E-6</v>
      </c>
      <c r="C20" s="3"/>
      <c r="D20" s="3"/>
      <c r="E20" s="3"/>
      <c r="F20" s="3"/>
      <c r="V20" s="6"/>
    </row>
    <row r="21" spans="1:23" x14ac:dyDescent="0.25">
      <c r="A21" t="s">
        <v>13</v>
      </c>
      <c r="B21">
        <f>K10*B48^2*B45/B47</f>
        <v>9.4206597462318208E-6</v>
      </c>
      <c r="V21" s="6"/>
    </row>
    <row r="22" spans="1:23" x14ac:dyDescent="0.25">
      <c r="A22" t="s">
        <v>21</v>
      </c>
      <c r="B22">
        <f>B16*COS(RADIANS(M10))</f>
        <v>18.448297185739833</v>
      </c>
      <c r="V22" s="6"/>
    </row>
    <row r="23" spans="1:23" x14ac:dyDescent="0.25">
      <c r="A23" t="s">
        <v>22</v>
      </c>
      <c r="B23">
        <f>B16*SIN(RADIANS(M10))/(B17*PI())</f>
        <v>2.3862266770148706</v>
      </c>
      <c r="V23" s="6"/>
    </row>
    <row r="24" spans="1:23" ht="18" customHeight="1" x14ac:dyDescent="0.25">
      <c r="A24" t="s">
        <v>36</v>
      </c>
      <c r="B24">
        <f>PI()/4*B38^2*(3*COS(RADIANS(B10))^2 - 1)*H10</f>
        <v>442.87862088852535</v>
      </c>
      <c r="V24" s="6"/>
    </row>
    <row r="25" spans="1:23" x14ac:dyDescent="0.25">
      <c r="V25" s="5"/>
      <c r="W25" s="8"/>
    </row>
    <row r="26" spans="1:23" ht="15.75" thickBot="1" x14ac:dyDescent="0.3"/>
    <row r="27" spans="1:23" x14ac:dyDescent="0.25">
      <c r="A27" s="11" t="s">
        <v>15</v>
      </c>
      <c r="B27" s="13"/>
    </row>
    <row r="28" spans="1:23" x14ac:dyDescent="0.25">
      <c r="A28" s="30" t="s">
        <v>45</v>
      </c>
      <c r="B28" s="31">
        <f>I10/B50</f>
        <v>1.1622912065849167</v>
      </c>
    </row>
    <row r="29" spans="1:23" x14ac:dyDescent="0.25">
      <c r="A29" s="32" t="s">
        <v>29</v>
      </c>
      <c r="B29" s="33" t="str">
        <f>IF(B10&gt;B39,"Yes","No")</f>
        <v>Yes</v>
      </c>
    </row>
    <row r="30" spans="1:23" x14ac:dyDescent="0.25">
      <c r="A30" s="32" t="s">
        <v>47</v>
      </c>
      <c r="B30" s="33">
        <f>B20/(J10*B41)</f>
        <v>8595.2008358313542</v>
      </c>
    </row>
    <row r="31" spans="1:23" x14ac:dyDescent="0.25">
      <c r="A31" s="32" t="s">
        <v>48</v>
      </c>
      <c r="B31" s="33">
        <f>0.5*B41*SQRT(J10/B20)</f>
        <v>2.971174438846997E-3</v>
      </c>
    </row>
    <row r="32" spans="1:23" ht="15.75" thickBot="1" x14ac:dyDescent="0.3">
      <c r="A32" s="34" t="s">
        <v>49</v>
      </c>
      <c r="B32" s="35">
        <f>1/SQRT(J10*B20)</f>
        <v>50202022.991617903</v>
      </c>
    </row>
    <row r="34" spans="1:2" x14ac:dyDescent="0.25">
      <c r="A34" s="2" t="s">
        <v>16</v>
      </c>
    </row>
    <row r="35" spans="1:2" x14ac:dyDescent="0.25">
      <c r="A35" s="3" t="s">
        <v>18</v>
      </c>
      <c r="B35">
        <f>B16*D10</f>
        <v>510.8053307884378</v>
      </c>
    </row>
    <row r="36" spans="1:2" x14ac:dyDescent="0.25">
      <c r="A36" s="3" t="s">
        <v>17</v>
      </c>
      <c r="B36">
        <f>PI()*C10</f>
        <v>3.1415926535897931</v>
      </c>
    </row>
    <row r="38" spans="1:2" x14ac:dyDescent="0.25">
      <c r="A38" s="3" t="s">
        <v>30</v>
      </c>
      <c r="B38">
        <f>B16*0.01/(B17*PI())</f>
        <v>2.9238044001630877E-2</v>
      </c>
    </row>
    <row r="39" spans="1:2" x14ac:dyDescent="0.25">
      <c r="A39" s="3" t="s">
        <v>31</v>
      </c>
      <c r="B39">
        <f>DEGREES(ASIN(G10*0.001*D10/(PI()*B38))/2)</f>
        <v>6.8004013097502769</v>
      </c>
    </row>
    <row r="40" spans="1:2" x14ac:dyDescent="0.25">
      <c r="A40" s="3" t="s">
        <v>32</v>
      </c>
      <c r="B40">
        <f>PI()*((F10/2)*0.001)^2</f>
        <v>2.8274333882308133E-7</v>
      </c>
    </row>
    <row r="41" spans="1:2" x14ac:dyDescent="0.25">
      <c r="A41" s="3" t="s">
        <v>34</v>
      </c>
      <c r="B41" s="7">
        <f>B35*0.01*E10/B40</f>
        <v>0.30350952184997032</v>
      </c>
    </row>
    <row r="44" spans="1:2" x14ac:dyDescent="0.25">
      <c r="A44" t="s">
        <v>38</v>
      </c>
      <c r="B44" s="28">
        <f>PI()*(C10/2*0.01)^2</f>
        <v>7.8539816339744827E-5</v>
      </c>
    </row>
    <row r="45" spans="1:2" x14ac:dyDescent="0.25">
      <c r="A45" t="s">
        <v>39</v>
      </c>
      <c r="B45" s="28">
        <f>PI()*(B23/2*0.01)^2</f>
        <v>4.4721182103103893E-4</v>
      </c>
    </row>
    <row r="46" spans="1:2" x14ac:dyDescent="0.25">
      <c r="A46" t="s">
        <v>40</v>
      </c>
      <c r="B46">
        <f>A10*0.01</f>
        <v>0.3</v>
      </c>
    </row>
    <row r="47" spans="1:2" x14ac:dyDescent="0.25">
      <c r="A47" t="s">
        <v>41</v>
      </c>
      <c r="B47">
        <f>B16*COS(RADIANS(M10))*0.01</f>
        <v>0.18448297185739834</v>
      </c>
    </row>
    <row r="48" spans="1:2" x14ac:dyDescent="0.25">
      <c r="A48" t="s">
        <v>42</v>
      </c>
      <c r="B48">
        <f>D10*B17</f>
        <v>55.610555444909991</v>
      </c>
    </row>
    <row r="50" spans="1:2" x14ac:dyDescent="0.25">
      <c r="A50" t="s">
        <v>44</v>
      </c>
      <c r="B50" s="27">
        <f>H10*B38^2*PI()*B51/(2*D10*B40)</f>
        <v>59365501.183423847</v>
      </c>
    </row>
    <row r="51" spans="1:2" x14ac:dyDescent="0.25">
      <c r="A51" t="s">
        <v>43</v>
      </c>
      <c r="B51">
        <f>COS(RADIANS(45))*SIN(RADIANS(45))</f>
        <v>0.5</v>
      </c>
    </row>
  </sheetData>
  <conditionalFormatting sqref="B28">
    <cfRule type="cellIs" dxfId="12" priority="7" operator="lessThan">
      <formula>1</formula>
    </cfRule>
    <cfRule type="cellIs" dxfId="11" priority="4" operator="greaterThan">
      <formula>1</formula>
    </cfRule>
  </conditionalFormatting>
  <conditionalFormatting sqref="B29">
    <cfRule type="containsText" dxfId="10" priority="6" operator="containsText" text="No">
      <formula>NOT(ISERROR(SEARCH("No",B29)))</formula>
    </cfRule>
    <cfRule type="cellIs" dxfId="9" priority="5" operator="equal">
      <formula>"Yes"</formula>
    </cfRule>
  </conditionalFormatting>
  <conditionalFormatting sqref="B30">
    <cfRule type="cellIs" dxfId="8" priority="3" operator="greaterThan">
      <formula>$N$10</formula>
    </cfRule>
  </conditionalFormatting>
  <conditionalFormatting sqref="B31">
    <cfRule type="cellIs" dxfId="7" priority="2" operator="lessThan">
      <formula>0.01</formula>
    </cfRule>
  </conditionalFormatting>
  <conditionalFormatting sqref="B32">
    <cfRule type="cellIs" dxfId="0" priority="1" operator="lessThan">
      <formula>$L$10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Contracting Type Mckibben</vt:lpstr>
    </vt:vector>
  </TitlesOfParts>
  <Company>The University of Michigan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Felt, Wyatt</dc:creator>
  <cp:lastModifiedBy>Wyatt Felt</cp:lastModifiedBy>
  <dcterms:created xsi:type="dcterms:W3CDTF">2013-07-17T20:12:11Z</dcterms:created>
  <dcterms:modified xsi:type="dcterms:W3CDTF">2015-05-05T13:30:19Z</dcterms:modified>
</cp:coreProperties>
</file>